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6500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Pr?vot</author>
  </authors>
  <commentList>
    <comment ref="D26" authorId="0">
      <text>
        <r>
          <rPr>
            <b/>
            <sz val="9"/>
            <rFont val="Tahoma"/>
            <family val="0"/>
          </rPr>
          <t>Prévot:</t>
        </r>
        <r>
          <rPr>
            <sz val="9"/>
            <rFont val="Tahoma"/>
            <family val="0"/>
          </rPr>
          <t xml:space="preserve">
valeur figurant dans les tableaux ressoure-emplois d'énergie</t>
        </r>
      </text>
    </comment>
    <comment ref="D56" authorId="0">
      <text>
        <r>
          <rPr>
            <b/>
            <sz val="9"/>
            <rFont val="Tahoma"/>
            <family val="0"/>
          </rPr>
          <t>Prévot:</t>
        </r>
        <r>
          <rPr>
            <sz val="9"/>
            <rFont val="Tahoma"/>
            <family val="0"/>
          </rPr>
          <t xml:space="preserve">
Negatep 2014 dit
12000 €
et 150 €/an/PAC
1 tep/an pompée par PAC</t>
        </r>
      </text>
    </comment>
  </commentList>
</comments>
</file>

<file path=xl/sharedStrings.xml><?xml version="1.0" encoding="utf-8"?>
<sst xmlns="http://schemas.openxmlformats.org/spreadsheetml/2006/main" count="93" uniqueCount="84">
  <si>
    <t>Résidentiel</t>
  </si>
  <si>
    <t>Tertiaire</t>
  </si>
  <si>
    <t>94 GW</t>
  </si>
  <si>
    <t>surface moyenne</t>
  </si>
  <si>
    <t>surface totale    Mm2</t>
  </si>
  <si>
    <t>conso pour chauffage en TWh</t>
  </si>
  <si>
    <t>surface unitaire des nouveaux logements</t>
  </si>
  <si>
    <t>surfaces des nouveaux logements Mm2</t>
  </si>
  <si>
    <t>40 GW</t>
  </si>
  <si>
    <t>65 GW</t>
  </si>
  <si>
    <t xml:space="preserve">par logement </t>
  </si>
  <si>
    <t>en annuité par logement</t>
  </si>
  <si>
    <t>65GW v/s 94</t>
  </si>
  <si>
    <t>40GWv/s65</t>
  </si>
  <si>
    <t>Taux d'intérêt</t>
  </si>
  <si>
    <t>Surface logements existant en 2012</t>
  </si>
  <si>
    <t>nombre de nouveaux logements - en millions</t>
  </si>
  <si>
    <t>40 v/s 94</t>
  </si>
  <si>
    <t>dans     trente     ans</t>
  </si>
  <si>
    <t>tendanciel</t>
  </si>
  <si>
    <t>tx croissance</t>
  </si>
  <si>
    <t>durée d'amortissement</t>
  </si>
  <si>
    <t>selon que la capacité nucléaire augmente, est stabilisée ou diminue.</t>
  </si>
  <si>
    <t>Les bâtiments relèvent du secteur résidentiel (les logements) et du secteur tertiaire</t>
  </si>
  <si>
    <t>dans trente ans, selon la capacité nucléaire</t>
  </si>
  <si>
    <t xml:space="preserve">   ECS : eau chaude sanitaire</t>
  </si>
  <si>
    <t xml:space="preserve">   Cuisson</t>
  </si>
  <si>
    <t>Total des usages thermiques</t>
  </si>
  <si>
    <t>Pourcentage de chaleur résidentiel dans l'ensemble résidentiel et tertiaire</t>
  </si>
  <si>
    <t xml:space="preserve">   ECS et cuisson</t>
  </si>
  <si>
    <t>Total des usages thermiques du secteur tertiaire</t>
  </si>
  <si>
    <t>Ensemble résidentiel et tertiaire : total des usages thermiques en Mtep</t>
  </si>
  <si>
    <t xml:space="preserve">   Chauffage en Mtep</t>
  </si>
  <si>
    <t>Ensemble résidentiel et tertiaire : total des usages thermiques en TWh</t>
  </si>
  <si>
    <t>Secteur résidentiel</t>
  </si>
  <si>
    <t>nombre de résidences principales en millions</t>
  </si>
  <si>
    <t>Consommation pour chauffage en kWh/m2</t>
  </si>
  <si>
    <t>Consommation pour chaleur en kWh/m2/an</t>
  </si>
  <si>
    <t>montant de l'annuité pour une dépense initiale égale à 1 euro</t>
  </si>
  <si>
    <t xml:space="preserve">Les valeurs 2010 viennent du CEREN. Le CEREN donne une consommation totale (y compris l'électricité spécifique) de 64,2 Mtep en 2009 </t>
  </si>
  <si>
    <t>alors que le service statistique du ministère indique 69 Mtep. Selon le CEREN, la consommation d'électricité spécifique est de 14,4 Mtep.</t>
  </si>
  <si>
    <t>Investissement sur le bâti pour diminuer la consommation HT   en euro par kWh/an</t>
  </si>
  <si>
    <t>Pourcentage des logements équipés de PAC</t>
  </si>
  <si>
    <t xml:space="preserve">         Economies en % de la consommation tendancielle - y/c chaleur solaire</t>
  </si>
  <si>
    <t>Total des dépenses : énergie, bâti (en plus de ce qui est dépensé dans hypoth de référence), équipement</t>
  </si>
  <si>
    <t xml:space="preserve">Dépenses annuelles supplémentaires par rapport à la siuation de référence </t>
  </si>
  <si>
    <t>Capacité nucléaire correspondante en GW   - rappel</t>
  </si>
  <si>
    <t>Consommation résidentiel et tertiaire y/c chaleur solaire pour le chauffage seulement</t>
  </si>
  <si>
    <r>
      <t xml:space="preserve">Consommation </t>
    </r>
    <r>
      <rPr>
        <b/>
        <sz val="8"/>
        <rFont val="Arial"/>
        <family val="2"/>
      </rPr>
      <t xml:space="preserve">thermique </t>
    </r>
    <r>
      <rPr>
        <sz val="8"/>
        <rFont val="Arial"/>
        <family val="2"/>
      </rPr>
      <t>du résidentiel et tertiaire, y compris chaleur solaire des PAC en Mtep/an   - rappel</t>
    </r>
  </si>
  <si>
    <t>Coefficient de performance, COP, des PAC</t>
  </si>
  <si>
    <t>Les valeurs choisies par l'utilisateur du tableau sont celles qui y figurent en bleu</t>
  </si>
  <si>
    <t>Consommation d'énergie thermique dans le secteur résidentiel et tertiaire</t>
  </si>
  <si>
    <t>Pourcentage de destruction de logements sur l'ensemble de la période</t>
  </si>
  <si>
    <t>pourcentage d'augmentation des surfaces v/s 2010 - pour un test de vraisemblance</t>
  </si>
  <si>
    <t>Consommation de chauffage par logement de 100 m2   : chaleur utile  MWh/an</t>
  </si>
  <si>
    <r>
      <t xml:space="preserve">Consomm Chauffage/m2 des nouveaux logements y.c la chaleur solaire des PAC : </t>
    </r>
    <r>
      <rPr>
        <b/>
        <sz val="8"/>
        <rFont val="Arial"/>
        <family val="2"/>
      </rPr>
      <t>chaleur utile</t>
    </r>
  </si>
  <si>
    <t>Consommation de chauffage logements existant aujourd'hui par m2 : chaleur utile   kWh/m2/an</t>
  </si>
  <si>
    <t>Consommation de chauffage des nouveaux logements : chaleur utile    TWh/an</t>
  </si>
  <si>
    <t>Consommation de chauffage de l'ensemble des logements : chaleur utile  TWh/an</t>
  </si>
  <si>
    <t xml:space="preserve">Consommation de chauffage des logements existant aujourd'hui : chaleur utile  TWh/an </t>
  </si>
  <si>
    <r>
      <t xml:space="preserve">Consommation de chaleur </t>
    </r>
    <r>
      <rPr>
        <b/>
        <sz val="8"/>
        <rFont val="Arial"/>
        <family val="2"/>
      </rPr>
      <t xml:space="preserve">facturée </t>
    </r>
    <r>
      <rPr>
        <sz val="8"/>
        <rFont val="Arial"/>
        <family val="2"/>
      </rPr>
      <t xml:space="preserve">dans le logement existant - </t>
    </r>
    <r>
      <rPr>
        <b/>
        <sz val="8"/>
        <rFont val="Arial"/>
        <family val="2"/>
      </rPr>
      <t xml:space="preserve">chaleur finale </t>
    </r>
    <r>
      <rPr>
        <sz val="8"/>
        <rFont val="Arial"/>
        <family val="2"/>
      </rPr>
      <t xml:space="preserve">   kWh/m2/an</t>
    </r>
  </si>
  <si>
    <r>
      <t xml:space="preserve">Consommation </t>
    </r>
    <r>
      <rPr>
        <b/>
        <sz val="8"/>
        <rFont val="Arial"/>
        <family val="2"/>
      </rPr>
      <t>finale</t>
    </r>
    <r>
      <rPr>
        <sz val="8"/>
        <rFont val="Arial"/>
        <family val="2"/>
      </rPr>
      <t xml:space="preserve"> totale de chaleur par le résidentiel  - sans la chaleur solaire - en TWh/an</t>
    </r>
  </si>
  <si>
    <t>Consommation finale du secteur résidentiel et tertiaire - sans la chaleur solaire</t>
  </si>
  <si>
    <t>Dépenses d'énergie     M€/an</t>
  </si>
  <si>
    <t xml:space="preserve">Annuité constante - bâti (en plus de ce qui est dépensé dans hypoth de référence) et équipement dans l'existant </t>
  </si>
  <si>
    <t>par les consommateurs (ligne 67) et, surtout, du montant de l'investissement par kWh/an évité (ligne 49)</t>
  </si>
  <si>
    <t xml:space="preserve">Les dépenses de consommation et d'économie d'énergie (ligne 70) dépendent du prix de l'énergie payé </t>
  </si>
  <si>
    <t>et l'installation d'une pompe à chaleur d'autre part - dont la logique économique est différente</t>
  </si>
  <si>
    <t>Cette version du tableur distingue les dépenses sur le bâti et les chaudières d'une part</t>
  </si>
  <si>
    <t>Pour avoir une idée de ce qu'il faudrait dépenser dans le secteur du bâtiment pour diviser les émissions de CO2 par trois</t>
  </si>
  <si>
    <t>ligne 29. Elles sont ici cohérentes avec les capacités nucléaires de la ligne 15</t>
  </si>
  <si>
    <t>On peut tester différentes valeurs de consommation totale de chaleur du résidentiel et tertiaire -</t>
  </si>
  <si>
    <t xml:space="preserve">Tendanciel : </t>
  </si>
  <si>
    <t>consom chauffage tendancielle</t>
  </si>
  <si>
    <t>consom chaleur tendancielle</t>
  </si>
  <si>
    <r>
      <t xml:space="preserve">Consommation de chaleur logement existant y/c chaleur solaire en cas de PAC : chaleur </t>
    </r>
    <r>
      <rPr>
        <b/>
        <sz val="8"/>
        <rFont val="Arial"/>
        <family val="2"/>
      </rPr>
      <t>utile</t>
    </r>
    <r>
      <rPr>
        <sz val="8"/>
        <rFont val="Arial"/>
        <family val="2"/>
      </rPr>
      <t xml:space="preserve"> kWh/m2/an</t>
    </r>
  </si>
  <si>
    <t>coût de la tep évitée</t>
  </si>
  <si>
    <t>coût du CO2 évité</t>
  </si>
  <si>
    <t>si c'est du fioul</t>
  </si>
  <si>
    <t>tCO2/tep</t>
  </si>
  <si>
    <t>si c'est du gaz</t>
  </si>
  <si>
    <t>€/tCO2</t>
  </si>
  <si>
    <t>Valeur de l'énergie en euros par MWh HT, la même par MWh pour l'électricité, le gaz et le fioul</t>
  </si>
  <si>
    <t>Investissement en équipement pour réduire la consommation d'énergie : PAC  €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</si>
</sst>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#,##0.0\ &quot;€&quot;;[Red]\-#,##0.0\ &quot;€&quot;"/>
    <numFmt numFmtId="169" formatCode="0.0%"/>
    <numFmt numFmtId="170" formatCode="0.000000"/>
    <numFmt numFmtId="171" formatCode="0.00000000"/>
    <numFmt numFmtId="172" formatCode="0.0000000"/>
    <numFmt numFmtId="173" formatCode="#,##0.00_ ;[Red]\-#,##0.00\ "/>
    <numFmt numFmtId="174" formatCode="#,##0.000_ ;[Red]\-#,##0.000\ "/>
    <numFmt numFmtId="175" formatCode="#,##0_ ;[Red]\-#,##0\ "/>
    <numFmt numFmtId="176" formatCode="0.000%"/>
    <numFmt numFmtId="177" formatCode="0.0000%"/>
    <numFmt numFmtId="178" formatCode="#,##0.0_ ;[Red]\-#,##0.0\ "/>
  </numFmts>
  <fonts count="15">
    <font>
      <sz val="10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9"/>
      <color indexed="12"/>
      <name val="Arial"/>
      <family val="2"/>
    </font>
    <font>
      <sz val="8"/>
      <color indexed="56"/>
      <name val="Arial"/>
      <family val="2"/>
    </font>
    <font>
      <sz val="8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6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69" fontId="7" fillId="2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9" fontId="8" fillId="0" borderId="0" xfId="0" applyNumberFormat="1" applyFont="1" applyAlignment="1">
      <alignment/>
    </xf>
    <xf numFmtId="174" fontId="1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" fontId="9" fillId="0" borderId="0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0" xfId="0" applyFont="1" applyAlignment="1">
      <alignment/>
    </xf>
    <xf numFmtId="9" fontId="9" fillId="0" borderId="0" xfId="0" applyNumberFormat="1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40">
      <selection activeCell="C68" sqref="C68"/>
    </sheetView>
  </sheetViews>
  <sheetFormatPr defaultColWidth="11.421875" defaultRowHeight="12.75"/>
  <cols>
    <col min="1" max="1" width="78.421875" style="2" customWidth="1"/>
    <col min="2" max="16384" width="11.421875" style="2" customWidth="1"/>
  </cols>
  <sheetData>
    <row r="1" ht="11.25">
      <c r="A1" s="1" t="s">
        <v>69</v>
      </c>
    </row>
    <row r="2" ht="11.25">
      <c r="A2" s="1" t="s">
        <v>22</v>
      </c>
    </row>
    <row r="3" spans="1:2" ht="11.25">
      <c r="A3" s="1"/>
      <c r="B3" s="2" t="s">
        <v>68</v>
      </c>
    </row>
    <row r="4" spans="1:2" ht="11.25">
      <c r="A4" s="2" t="s">
        <v>23</v>
      </c>
      <c r="B4" s="2" t="s">
        <v>67</v>
      </c>
    </row>
    <row r="5" ht="11.25"/>
    <row r="6" spans="1:2" ht="11.25">
      <c r="A6" s="2" t="s">
        <v>66</v>
      </c>
      <c r="B6" s="6" t="s">
        <v>50</v>
      </c>
    </row>
    <row r="7" spans="1:6" ht="11.25">
      <c r="A7" s="2" t="s">
        <v>65</v>
      </c>
      <c r="B7" s="38"/>
      <c r="C7" s="36"/>
      <c r="D7" s="36"/>
      <c r="E7" s="36"/>
      <c r="F7" s="36"/>
    </row>
    <row r="8" spans="2:6" ht="11.25">
      <c r="B8" s="2" t="s">
        <v>71</v>
      </c>
      <c r="C8" s="36"/>
      <c r="D8" s="36"/>
      <c r="E8" s="36"/>
      <c r="F8" s="36"/>
    </row>
    <row r="9" ht="11.25">
      <c r="B9" s="2" t="s">
        <v>70</v>
      </c>
    </row>
    <row r="10" ht="11.25"/>
    <row r="11" ht="11.25">
      <c r="A11" s="2" t="s">
        <v>39</v>
      </c>
    </row>
    <row r="12" ht="11.25">
      <c r="A12" s="2" t="s">
        <v>40</v>
      </c>
    </row>
    <row r="13" ht="11.25"/>
    <row r="14" spans="1:4" ht="11.25">
      <c r="A14" s="1" t="s">
        <v>51</v>
      </c>
      <c r="B14" s="2">
        <v>2010</v>
      </c>
      <c r="D14" s="2" t="s">
        <v>24</v>
      </c>
    </row>
    <row r="15" spans="4:6" ht="11.25">
      <c r="D15" s="37" t="s">
        <v>2</v>
      </c>
      <c r="E15" s="37" t="s">
        <v>9</v>
      </c>
      <c r="F15" s="37" t="s">
        <v>8</v>
      </c>
    </row>
    <row r="16" ht="11.25">
      <c r="A16" s="1" t="s">
        <v>0</v>
      </c>
    </row>
    <row r="17" spans="1:6" ht="11.25">
      <c r="A17" s="2" t="s">
        <v>32</v>
      </c>
      <c r="B17" s="2">
        <v>31</v>
      </c>
      <c r="D17" s="4">
        <f>D20-D18-D19</f>
        <v>27.58156862745098</v>
      </c>
      <c r="E17" s="4">
        <f>E20-E18-E19</f>
        <v>24.163137254901958</v>
      </c>
      <c r="F17" s="4">
        <f>F20-F18-F19</f>
        <v>19.109803921568624</v>
      </c>
    </row>
    <row r="18" spans="1:6" ht="11.25">
      <c r="A18" s="2" t="s">
        <v>25</v>
      </c>
      <c r="B18" s="2">
        <v>4.3</v>
      </c>
      <c r="D18" s="2">
        <f>$B$18</f>
        <v>4.3</v>
      </c>
      <c r="E18" s="2">
        <f>$B$18</f>
        <v>4.3</v>
      </c>
      <c r="F18" s="2">
        <f>$B$18</f>
        <v>4.3</v>
      </c>
    </row>
    <row r="19" spans="1:6" ht="11.25">
      <c r="A19" s="2" t="s">
        <v>26</v>
      </c>
      <c r="B19" s="2">
        <v>2.6</v>
      </c>
      <c r="D19" s="2">
        <f>$B$19</f>
        <v>2.6</v>
      </c>
      <c r="E19" s="2">
        <f>$B$19</f>
        <v>2.6</v>
      </c>
      <c r="F19" s="2">
        <f>$B$19</f>
        <v>2.6</v>
      </c>
    </row>
    <row r="20" spans="1:6" ht="11.25">
      <c r="A20" s="2" t="s">
        <v>27</v>
      </c>
      <c r="B20" s="2">
        <f>B17+B18+B19</f>
        <v>37.9</v>
      </c>
      <c r="D20" s="4">
        <f>D26-D25</f>
        <v>34.48156862745098</v>
      </c>
      <c r="E20" s="4">
        <f>E26-E25</f>
        <v>31.06313725490196</v>
      </c>
      <c r="F20" s="4">
        <f>F26-F25</f>
        <v>26.009803921568626</v>
      </c>
    </row>
    <row r="21" spans="1:6" ht="11.25">
      <c r="A21" s="2" t="s">
        <v>28</v>
      </c>
      <c r="B21" s="5">
        <f>B20/B26</f>
        <v>0.7431372549019608</v>
      </c>
      <c r="D21" s="5">
        <f>D20/D26</f>
        <v>0.7431372549019608</v>
      </c>
      <c r="E21" s="5">
        <f>E20/E26</f>
        <v>0.7431372549019608</v>
      </c>
      <c r="F21" s="5">
        <f>F20/F26</f>
        <v>0.7431372549019607</v>
      </c>
    </row>
    <row r="22" ht="11.25">
      <c r="A22" s="1" t="s">
        <v>1</v>
      </c>
    </row>
    <row r="23" spans="1:2" ht="11.25">
      <c r="A23" s="2" t="s">
        <v>32</v>
      </c>
      <c r="B23" s="2">
        <v>9.7</v>
      </c>
    </row>
    <row r="24" spans="1:2" ht="11.25">
      <c r="A24" s="2" t="s">
        <v>29</v>
      </c>
      <c r="B24" s="2">
        <v>3.4</v>
      </c>
    </row>
    <row r="25" spans="1:6" ht="11.25">
      <c r="A25" s="2" t="s">
        <v>30</v>
      </c>
      <c r="B25" s="2">
        <f>B23+B24</f>
        <v>13.1</v>
      </c>
      <c r="D25" s="4">
        <f>$B25*D26/$B26</f>
        <v>11.918431372549017</v>
      </c>
      <c r="E25" s="4">
        <f>$B25*E26/$B26</f>
        <v>10.736862745098037</v>
      </c>
      <c r="F25" s="4">
        <f>$B25*F26/$B26</f>
        <v>8.990196078431373</v>
      </c>
    </row>
    <row r="26" spans="1:6" ht="11.25">
      <c r="A26" s="2" t="s">
        <v>31</v>
      </c>
      <c r="B26" s="2">
        <f>B25+B20</f>
        <v>51</v>
      </c>
      <c r="D26" s="6">
        <v>46.4</v>
      </c>
      <c r="E26" s="6">
        <v>41.8</v>
      </c>
      <c r="F26" s="6">
        <v>35</v>
      </c>
    </row>
    <row r="27" spans="1:6" ht="11.25">
      <c r="A27" s="2" t="s">
        <v>33</v>
      </c>
      <c r="B27" s="7">
        <f>B26*11.6</f>
        <v>591.6</v>
      </c>
      <c r="D27" s="7">
        <f>D26*11.6</f>
        <v>538.24</v>
      </c>
      <c r="E27" s="7">
        <f>E26*11.6</f>
        <v>484.87999999999994</v>
      </c>
      <c r="F27" s="7">
        <f>F26*11.6</f>
        <v>406</v>
      </c>
    </row>
    <row r="28" spans="2:6" ht="11.25">
      <c r="B28" s="8"/>
      <c r="C28" s="8"/>
      <c r="D28" s="8"/>
      <c r="E28" s="8"/>
      <c r="F28" s="8"/>
    </row>
    <row r="29" spans="1:7" ht="11.25">
      <c r="A29" s="1" t="s">
        <v>34</v>
      </c>
      <c r="E29" s="9" t="s">
        <v>72</v>
      </c>
      <c r="F29" s="10" t="s">
        <v>20</v>
      </c>
      <c r="G29" s="11">
        <v>0.007</v>
      </c>
    </row>
    <row r="30" spans="1:7" ht="11.25">
      <c r="A30" s="2" t="s">
        <v>35</v>
      </c>
      <c r="B30" s="2">
        <v>28</v>
      </c>
      <c r="E30" s="12" t="s">
        <v>74</v>
      </c>
      <c r="F30" s="13"/>
      <c r="G30" s="14">
        <f>(1+G29)^30*B20*11.6</f>
        <v>541.9775729667725</v>
      </c>
    </row>
    <row r="31" spans="1:7" ht="11.25">
      <c r="A31" s="2" t="s">
        <v>3</v>
      </c>
      <c r="B31" s="2">
        <v>91</v>
      </c>
      <c r="E31" s="15" t="s">
        <v>73</v>
      </c>
      <c r="F31" s="16"/>
      <c r="G31" s="17">
        <f>G30-(B18+B19)*11.6</f>
        <v>461.9375729667725</v>
      </c>
    </row>
    <row r="32" spans="1:2" ht="11.25">
      <c r="A32" s="2" t="s">
        <v>4</v>
      </c>
      <c r="B32" s="2">
        <f>B31*B30</f>
        <v>2548</v>
      </c>
    </row>
    <row r="33" spans="1:2" ht="11.25">
      <c r="A33" s="2" t="s">
        <v>5</v>
      </c>
      <c r="B33" s="7">
        <f>B17*11.6</f>
        <v>359.59999999999997</v>
      </c>
    </row>
    <row r="34" spans="1:2" ht="11.25">
      <c r="A34" s="2" t="s">
        <v>36</v>
      </c>
      <c r="B34" s="18">
        <f>B33/B32*1000</f>
        <v>141.1302982731554</v>
      </c>
    </row>
    <row r="35" spans="1:6" ht="11.25">
      <c r="A35" s="2" t="s">
        <v>37</v>
      </c>
      <c r="B35" s="18">
        <f>B34+(B18+B19)*11.6/B32*1000</f>
        <v>172.54317111459966</v>
      </c>
      <c r="F35" s="3" t="s">
        <v>18</v>
      </c>
    </row>
    <row r="36" spans="4:7" ht="11.25">
      <c r="D36" s="3" t="s">
        <v>2</v>
      </c>
      <c r="E36" s="3" t="s">
        <v>9</v>
      </c>
      <c r="F36" s="3" t="s">
        <v>8</v>
      </c>
      <c r="G36" s="3" t="s">
        <v>19</v>
      </c>
    </row>
    <row r="37" spans="1:9" ht="11.25">
      <c r="A37" s="2" t="s">
        <v>52</v>
      </c>
      <c r="C37" s="19">
        <v>0.1</v>
      </c>
      <c r="D37" s="20">
        <f>$C37</f>
        <v>0.1</v>
      </c>
      <c r="E37" s="20">
        <f>$C37</f>
        <v>0.1</v>
      </c>
      <c r="F37" s="20">
        <f>$C37</f>
        <v>0.1</v>
      </c>
      <c r="G37" s="20">
        <f>$C37</f>
        <v>0.1</v>
      </c>
      <c r="I37" s="21"/>
    </row>
    <row r="38" spans="1:7" ht="11.25">
      <c r="A38" s="2" t="s">
        <v>15</v>
      </c>
      <c r="D38" s="7">
        <f>(1-D37)*$B$32</f>
        <v>2293.2000000000003</v>
      </c>
      <c r="E38" s="7">
        <f>(1-E37)*$B$32</f>
        <v>2293.2000000000003</v>
      </c>
      <c r="F38" s="7">
        <f>(1-F37)*$B$32</f>
        <v>2293.2000000000003</v>
      </c>
      <c r="G38" s="7">
        <f>(1-G37)*$B$32</f>
        <v>2293.2000000000003</v>
      </c>
    </row>
    <row r="39" spans="1:7" ht="11.25">
      <c r="A39" s="2" t="s">
        <v>16</v>
      </c>
      <c r="C39" s="6">
        <v>7.5</v>
      </c>
      <c r="D39" s="22">
        <f>$C39</f>
        <v>7.5</v>
      </c>
      <c r="E39" s="22">
        <f>$C39</f>
        <v>7.5</v>
      </c>
      <c r="F39" s="22">
        <f>$C39</f>
        <v>7.5</v>
      </c>
      <c r="G39" s="22">
        <f>$C39</f>
        <v>7.5</v>
      </c>
    </row>
    <row r="40" spans="1:7" ht="11.25">
      <c r="A40" s="2" t="s">
        <v>6</v>
      </c>
      <c r="D40" s="44">
        <v>100</v>
      </c>
      <c r="E40" s="22">
        <f>D40</f>
        <v>100</v>
      </c>
      <c r="F40" s="22">
        <f>D40</f>
        <v>100</v>
      </c>
      <c r="G40" s="22">
        <f>D40</f>
        <v>100</v>
      </c>
    </row>
    <row r="41" spans="1:7" ht="11.25">
      <c r="A41" s="2" t="s">
        <v>7</v>
      </c>
      <c r="D41" s="2">
        <f>D40*D39</f>
        <v>750</v>
      </c>
      <c r="E41" s="2">
        <f>E40*E39</f>
        <v>750</v>
      </c>
      <c r="F41" s="2">
        <f>F40*F39</f>
        <v>750</v>
      </c>
      <c r="G41" s="2">
        <f>G40*G39</f>
        <v>750</v>
      </c>
    </row>
    <row r="42" spans="1:7" ht="11.25">
      <c r="A42" s="2" t="s">
        <v>53</v>
      </c>
      <c r="D42" s="24">
        <f>(D41+D38-$B$32)/$B$32</f>
        <v>0.19434850863422304</v>
      </c>
      <c r="E42" s="24">
        <f>(E41+E38-$B$32)/$B$32</f>
        <v>0.19434850863422304</v>
      </c>
      <c r="F42" s="24">
        <f>(F41+F38-$B$32)/$B$32</f>
        <v>0.19434850863422304</v>
      </c>
      <c r="G42" s="24">
        <f>(G41+G38-$B$32)/$B$32</f>
        <v>0.19434850863422304</v>
      </c>
    </row>
    <row r="43" spans="1:7" ht="11.25">
      <c r="A43" s="2" t="s">
        <v>55</v>
      </c>
      <c r="D43" s="31">
        <v>50</v>
      </c>
      <c r="E43" s="31">
        <v>50</v>
      </c>
      <c r="F43" s="31">
        <v>50</v>
      </c>
      <c r="G43" s="31">
        <v>90</v>
      </c>
    </row>
    <row r="44" spans="1:7" ht="11.25">
      <c r="A44" s="2" t="s">
        <v>57</v>
      </c>
      <c r="D44" s="2">
        <f>D43*D41/1000</f>
        <v>37.5</v>
      </c>
      <c r="E44" s="2">
        <f>E43*E41/1000</f>
        <v>37.5</v>
      </c>
      <c r="F44" s="2">
        <f>F43*F41/1000</f>
        <v>37.5</v>
      </c>
      <c r="G44" s="2">
        <f>G43*G41/1000</f>
        <v>67.5</v>
      </c>
    </row>
    <row r="45" spans="1:7" ht="11.25">
      <c r="A45" s="2" t="s">
        <v>58</v>
      </c>
      <c r="D45" s="7">
        <f>D17*11.6</f>
        <v>319.94619607843134</v>
      </c>
      <c r="E45" s="7">
        <f>E17*11.6</f>
        <v>280.2923921568627</v>
      </c>
      <c r="F45" s="7">
        <f>F17*11.6</f>
        <v>221.67372549019603</v>
      </c>
      <c r="G45" s="18">
        <f>G46+G44</f>
        <v>421.57085778334965</v>
      </c>
    </row>
    <row r="46" spans="1:7" ht="11.25">
      <c r="A46" s="2" t="s">
        <v>59</v>
      </c>
      <c r="D46" s="7">
        <f>D45-D44</f>
        <v>282.44619607843134</v>
      </c>
      <c r="E46" s="7">
        <f>E45-E44</f>
        <v>242.79239215686272</v>
      </c>
      <c r="F46" s="7">
        <f>F45-F44</f>
        <v>184.17372549019603</v>
      </c>
      <c r="G46" s="7">
        <f>B34*G38/1000*1.003^30</f>
        <v>354.07085778334965</v>
      </c>
    </row>
    <row r="47" spans="1:6" ht="11.25">
      <c r="A47" s="2" t="s">
        <v>56</v>
      </c>
      <c r="D47" s="34">
        <f>D46/D38*1000</f>
        <v>123.16683938532675</v>
      </c>
      <c r="E47" s="34">
        <f>E46/E38*1000</f>
        <v>105.87493116904879</v>
      </c>
      <c r="F47" s="34">
        <f>F46/F38*1000</f>
        <v>80.3129798928118</v>
      </c>
    </row>
    <row r="48" spans="1:6" ht="12" thickBot="1">
      <c r="A48" s="2" t="s">
        <v>54</v>
      </c>
      <c r="D48" s="4">
        <f>D47*D40/1000</f>
        <v>12.316683938532675</v>
      </c>
      <c r="E48" s="4">
        <f>E47*E40/1000</f>
        <v>10.587493116904879</v>
      </c>
      <c r="F48" s="4">
        <f>F47*F40/1000</f>
        <v>8.03129798928118</v>
      </c>
    </row>
    <row r="49" spans="1:6" ht="13.5" thickBot="1" thickTop="1">
      <c r="A49" s="1" t="s">
        <v>41</v>
      </c>
      <c r="E49" s="42">
        <v>2</v>
      </c>
      <c r="F49" s="43">
        <v>3.5</v>
      </c>
    </row>
    <row r="50" spans="1:6" ht="12" thickTop="1">
      <c r="A50" s="2" t="s">
        <v>10</v>
      </c>
      <c r="E50" s="7">
        <f>E49*(D47-E47)*E40</f>
        <v>3458.3816432555923</v>
      </c>
      <c r="F50" s="7">
        <f>F49*(E47-F47)*F40</f>
        <v>8946.68294668295</v>
      </c>
    </row>
    <row r="51" spans="1:6" ht="11.25">
      <c r="A51" s="2" t="s">
        <v>14</v>
      </c>
      <c r="B51" s="23"/>
      <c r="C51" s="19">
        <v>0.05</v>
      </c>
      <c r="E51" s="24">
        <f>C51</f>
        <v>0.05</v>
      </c>
      <c r="F51" s="24">
        <f>C51</f>
        <v>0.05</v>
      </c>
    </row>
    <row r="52" spans="1:6" ht="11.25">
      <c r="A52" s="2" t="s">
        <v>21</v>
      </c>
      <c r="B52" s="25"/>
      <c r="C52" s="26">
        <v>30</v>
      </c>
      <c r="E52" s="27">
        <f>C52</f>
        <v>30</v>
      </c>
      <c r="F52" s="27">
        <f>C52</f>
        <v>30</v>
      </c>
    </row>
    <row r="53" spans="1:6" ht="11.25">
      <c r="A53" s="2" t="s">
        <v>38</v>
      </c>
      <c r="B53" s="25"/>
      <c r="C53" s="28">
        <f>-PMT(C51,C52,1)</f>
        <v>0.06505143508027658</v>
      </c>
      <c r="E53" s="27"/>
      <c r="F53" s="27"/>
    </row>
    <row r="54" spans="1:6" ht="11.25">
      <c r="A54" s="2" t="s">
        <v>11</v>
      </c>
      <c r="E54" s="29">
        <f>-PMT(E51,E52,E50)</f>
        <v>224.97268894906142</v>
      </c>
      <c r="F54" s="29">
        <f>-PMT(F51,F52,F50)</f>
        <v>581.9945648899635</v>
      </c>
    </row>
    <row r="55" spans="1:6" ht="11.25">
      <c r="A55" s="2" t="s">
        <v>75</v>
      </c>
      <c r="D55" s="41">
        <f>D47+30</f>
        <v>153.16683938532674</v>
      </c>
      <c r="E55" s="41">
        <f>E47+30</f>
        <v>135.8749311690488</v>
      </c>
      <c r="F55" s="41">
        <f>F47+30</f>
        <v>110.3129798928118</v>
      </c>
    </row>
    <row r="56" spans="1:6" ht="11.25">
      <c r="A56" s="1" t="s">
        <v>83</v>
      </c>
      <c r="C56" s="31"/>
      <c r="D56" s="31">
        <v>9000</v>
      </c>
      <c r="E56" s="31">
        <v>8500</v>
      </c>
      <c r="F56" s="31">
        <v>8000</v>
      </c>
    </row>
    <row r="57" spans="1:6" ht="11.25">
      <c r="A57" s="2" t="s">
        <v>21</v>
      </c>
      <c r="C57" s="2">
        <v>16</v>
      </c>
      <c r="E57" s="29"/>
      <c r="F57" s="29"/>
    </row>
    <row r="58" spans="1:6" ht="11.25">
      <c r="A58" s="2" t="s">
        <v>11</v>
      </c>
      <c r="D58" s="29">
        <f>-PMT($C$51,$C$57,D56)</f>
        <v>830.4291717988115</v>
      </c>
      <c r="E58" s="29">
        <f>-PMT($C$51,$C$57,E56)</f>
        <v>784.2942178099886</v>
      </c>
      <c r="F58" s="29">
        <f>-PMT($C$51,$C$57,F56)</f>
        <v>738.1592638211658</v>
      </c>
    </row>
    <row r="59" spans="1:6" ht="11.25">
      <c r="A59" s="2" t="s">
        <v>42</v>
      </c>
      <c r="D59" s="19">
        <v>0.3</v>
      </c>
      <c r="E59" s="45">
        <f>D59</f>
        <v>0.3</v>
      </c>
      <c r="F59" s="45">
        <f>E59</f>
        <v>0.3</v>
      </c>
    </row>
    <row r="60" spans="1:6" ht="11.25">
      <c r="A60" s="2" t="s">
        <v>49</v>
      </c>
      <c r="C60" s="6">
        <v>2.5</v>
      </c>
      <c r="D60" s="22">
        <f>C60</f>
        <v>2.5</v>
      </c>
      <c r="E60" s="22">
        <f>D60</f>
        <v>2.5</v>
      </c>
      <c r="F60" s="22">
        <f>E60</f>
        <v>2.5</v>
      </c>
    </row>
    <row r="61" spans="1:6" ht="11.25">
      <c r="A61" s="2" t="s">
        <v>60</v>
      </c>
      <c r="D61" s="32">
        <f>D55-(D55-D55/D60)*D59</f>
        <v>125.59680829596792</v>
      </c>
      <c r="E61" s="32">
        <f>E55-(E55-E55/E60)*E59</f>
        <v>111.41744355862002</v>
      </c>
      <c r="F61" s="32">
        <f>F55-(F55-F55/F60)*F59</f>
        <v>90.45664351210567</v>
      </c>
    </row>
    <row r="62" spans="1:6" ht="11.25">
      <c r="A62" s="2" t="s">
        <v>61</v>
      </c>
      <c r="D62" s="33">
        <f>D61*D38/1000</f>
        <v>288.01860078431366</v>
      </c>
      <c r="E62" s="33">
        <f>E61*E38/1000</f>
        <v>255.50248156862747</v>
      </c>
      <c r="F62" s="33">
        <f>F61*F38/1000</f>
        <v>207.43517490196075</v>
      </c>
    </row>
    <row r="63" spans="3:6" ht="11.25">
      <c r="C63" s="2" t="s">
        <v>19</v>
      </c>
      <c r="E63" s="7"/>
      <c r="F63" s="7"/>
    </row>
    <row r="64" spans="1:6" ht="11.25">
      <c r="A64" s="1" t="s">
        <v>47</v>
      </c>
      <c r="C64" s="7">
        <f>G45/B21</f>
        <v>567.2853231385444</v>
      </c>
      <c r="D64" s="7">
        <f>D45/D21</f>
        <v>430.5344591029023</v>
      </c>
      <c r="E64" s="7">
        <f>E45/E21</f>
        <v>377.17445910290235</v>
      </c>
      <c r="F64" s="7">
        <f>F45/F21</f>
        <v>298.29445910290235</v>
      </c>
    </row>
    <row r="65" spans="1:6" ht="11.25">
      <c r="A65" s="2" t="s">
        <v>43</v>
      </c>
      <c r="D65" s="5">
        <f>(C64-D64)/C64</f>
        <v>0.24106187566965193</v>
      </c>
      <c r="E65" s="5">
        <f>(C64-E64)/C64</f>
        <v>0.33512388965722023</v>
      </c>
      <c r="F65" s="5">
        <f>(C64-F64)/C64</f>
        <v>0.47417208424753865</v>
      </c>
    </row>
    <row r="66" spans="1:6" ht="11.25">
      <c r="A66" s="1" t="s">
        <v>62</v>
      </c>
      <c r="D66" s="7">
        <f>D62/D21</f>
        <v>387.5712042216358</v>
      </c>
      <c r="E66" s="7">
        <f>E62/E21</f>
        <v>343.8160042216359</v>
      </c>
      <c r="F66" s="7">
        <f>F62/F21</f>
        <v>279.13440422163586</v>
      </c>
    </row>
    <row r="67" spans="1:6" ht="11.25">
      <c r="A67" s="2" t="s">
        <v>82</v>
      </c>
      <c r="C67" s="6">
        <v>125</v>
      </c>
      <c r="D67" s="22">
        <f>C67</f>
        <v>125</v>
      </c>
      <c r="E67" s="22">
        <f>D67</f>
        <v>125</v>
      </c>
      <c r="F67" s="22">
        <f>E67</f>
        <v>125</v>
      </c>
    </row>
    <row r="68" spans="1:6" ht="11.25">
      <c r="A68" s="2" t="s">
        <v>63</v>
      </c>
      <c r="D68" s="7">
        <f>D67*D66</f>
        <v>48446.40052770448</v>
      </c>
      <c r="E68" s="7">
        <f>E67*E66</f>
        <v>42977.00052770449</v>
      </c>
      <c r="F68" s="7">
        <f>F67*F66</f>
        <v>34891.80052770448</v>
      </c>
    </row>
    <row r="69" spans="1:6" ht="11.25">
      <c r="A69" s="2" t="s">
        <v>64</v>
      </c>
      <c r="D69" s="7">
        <f>((D59*D58+D54)*D38/D40)/D21</f>
        <v>7687.7057267984765</v>
      </c>
      <c r="E69" s="7">
        <f>((E59*E58+E54)*E38/E40)/E21</f>
        <v>14202.900115965678</v>
      </c>
      <c r="F69" s="7">
        <f>((F59*F58+E54+F54)*F38/F40)/F21</f>
        <v>31735.205550328534</v>
      </c>
    </row>
    <row r="70" spans="1:6" ht="11.25">
      <c r="A70" s="2" t="s">
        <v>44</v>
      </c>
      <c r="D70" s="7">
        <f>D68+D69</f>
        <v>56134.106254502956</v>
      </c>
      <c r="E70" s="7">
        <f>E68+E69</f>
        <v>57179.90064367017</v>
      </c>
      <c r="F70" s="7">
        <f>F68+F69</f>
        <v>66627.00607803301</v>
      </c>
    </row>
    <row r="71" spans="4:6" ht="11.25">
      <c r="D71" s="7"/>
      <c r="E71" s="7"/>
      <c r="F71" s="7"/>
    </row>
    <row r="72" spans="1:6" ht="11.25">
      <c r="A72" s="2" t="s">
        <v>48</v>
      </c>
      <c r="D72" s="35">
        <f>D26</f>
        <v>46.4</v>
      </c>
      <c r="E72" s="35">
        <f>E26</f>
        <v>41.8</v>
      </c>
      <c r="F72" s="35">
        <f>F26</f>
        <v>35</v>
      </c>
    </row>
    <row r="73" spans="1:6" ht="11.25">
      <c r="A73" s="2" t="s">
        <v>46</v>
      </c>
      <c r="D73" s="33">
        <v>94</v>
      </c>
      <c r="E73" s="33">
        <v>65</v>
      </c>
      <c r="F73" s="33">
        <v>40</v>
      </c>
    </row>
    <row r="74" spans="5:7" ht="11.25">
      <c r="E74" s="2" t="s">
        <v>12</v>
      </c>
      <c r="F74" s="2" t="s">
        <v>13</v>
      </c>
      <c r="G74" s="30" t="s">
        <v>17</v>
      </c>
    </row>
    <row r="75" spans="1:7" ht="11.25">
      <c r="A75" s="2" t="s">
        <v>45</v>
      </c>
      <c r="E75" s="34">
        <f>E70-D70</f>
        <v>1045.7943891672112</v>
      </c>
      <c r="F75" s="34">
        <f>F70-E70</f>
        <v>9447.105434362842</v>
      </c>
      <c r="G75" s="32">
        <f>F70-D70</f>
        <v>10492.899823530053</v>
      </c>
    </row>
    <row r="76" spans="1:7" ht="11.25">
      <c r="A76" s="40" t="s">
        <v>76</v>
      </c>
      <c r="E76" s="4">
        <f>E75/(D72-E72)/11.8</f>
        <v>19.26666155429644</v>
      </c>
      <c r="F76" s="7">
        <f>F75/(E72-F72)/11.28</f>
        <v>123.16313926735042</v>
      </c>
      <c r="G76" s="21">
        <f>G75/(D72-F72)/11.28</f>
        <v>81.59838732992763</v>
      </c>
    </row>
    <row r="77" spans="1:5" ht="11.25">
      <c r="A77" s="40" t="s">
        <v>77</v>
      </c>
      <c r="E77" s="4"/>
    </row>
    <row r="78" spans="1:8" ht="11.25">
      <c r="A78" s="40" t="s">
        <v>78</v>
      </c>
      <c r="B78" s="2">
        <v>0.9</v>
      </c>
      <c r="C78" s="2" t="s">
        <v>79</v>
      </c>
      <c r="E78" s="4">
        <f>E76*B78/44*12</f>
        <v>4.729089654236399</v>
      </c>
      <c r="F78" s="39">
        <f>F$76*$B78/44*12</f>
        <v>30.23095236562238</v>
      </c>
      <c r="G78" s="39">
        <f>G$76*$B78/44*12</f>
        <v>20.028695071891327</v>
      </c>
      <c r="H78" s="2" t="s">
        <v>81</v>
      </c>
    </row>
    <row r="79" spans="1:8" ht="11.25">
      <c r="A79" s="40" t="s">
        <v>80</v>
      </c>
      <c r="B79" s="2">
        <v>0.7</v>
      </c>
      <c r="C79" s="2" t="s">
        <v>79</v>
      </c>
      <c r="E79" s="4">
        <f>E76*B79/44*12</f>
        <v>3.678180842183866</v>
      </c>
      <c r="F79" s="39">
        <f>F$76*$B79/44*12</f>
        <v>23.512962951039622</v>
      </c>
      <c r="G79" s="39">
        <f>G$76*$B79/44*12</f>
        <v>15.577873944804363</v>
      </c>
      <c r="H79" s="2" t="s">
        <v>81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Prévot</dc:creator>
  <cp:keywords/>
  <dc:description/>
  <cp:lastModifiedBy>Prévot</cp:lastModifiedBy>
  <dcterms:created xsi:type="dcterms:W3CDTF">2012-03-02T12:42:17Z</dcterms:created>
  <dcterms:modified xsi:type="dcterms:W3CDTF">2018-11-07T20:00:31Z</dcterms:modified>
  <cp:category/>
  <cp:version/>
  <cp:contentType/>
  <cp:contentStatus/>
</cp:coreProperties>
</file>